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401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7" i="1" l="1"/>
  <c r="E51" i="1" l="1"/>
  <c r="E46" i="1"/>
  <c r="G47" i="1"/>
  <c r="E42" i="1"/>
  <c r="E43" i="1"/>
  <c r="E45" i="1"/>
  <c r="E44" i="1"/>
  <c r="E41" i="1"/>
  <c r="G37" i="1"/>
  <c r="G32" i="1"/>
  <c r="G25" i="1"/>
  <c r="G21" i="1"/>
  <c r="G17" i="1"/>
  <c r="G16" i="1"/>
  <c r="E15" i="1"/>
  <c r="G51" i="1" l="1"/>
  <c r="G56" i="1" s="1"/>
  <c r="G36" i="1" l="1"/>
  <c r="E24" i="1"/>
  <c r="E20" i="1"/>
  <c r="E14" i="1"/>
  <c r="G35" i="1" l="1"/>
  <c r="G38" i="1" s="1"/>
  <c r="G28" i="1"/>
  <c r="G33" i="1" l="1"/>
  <c r="G20" i="1" l="1"/>
  <c r="G22" i="1" l="1"/>
  <c r="G15" i="1" l="1"/>
  <c r="G24" i="1" l="1"/>
  <c r="G26" i="1" s="1"/>
  <c r="G43" i="1"/>
  <c r="G46" i="1" l="1"/>
  <c r="G45" i="1"/>
  <c r="G44" i="1"/>
  <c r="G42" i="1"/>
  <c r="G41" i="1"/>
  <c r="G14" i="1"/>
  <c r="G11" i="1"/>
  <c r="G7" i="1"/>
  <c r="G18" i="1" l="1"/>
  <c r="G39" i="1" s="1"/>
  <c r="G12" i="1"/>
  <c r="G48" i="1"/>
  <c r="G57" i="1" s="1"/>
  <c r="G58" i="1" l="1"/>
  <c r="G59" i="1" s="1"/>
  <c r="G60" i="1" s="1"/>
  <c r="G65" i="1" s="1"/>
  <c r="G66" i="1" l="1"/>
  <c r="G69" i="1" s="1"/>
  <c r="G70" i="1" s="1"/>
  <c r="G71" i="1" s="1"/>
</calcChain>
</file>

<file path=xl/sharedStrings.xml><?xml version="1.0" encoding="utf-8"?>
<sst xmlns="http://schemas.openxmlformats.org/spreadsheetml/2006/main" count="155" uniqueCount="140">
  <si>
    <t>Наименование объекта строительства</t>
  </si>
  <si>
    <t>Обоснование</t>
  </si>
  <si>
    <t>Кол.</t>
  </si>
  <si>
    <t>Стоимость в текущем (прогнозном), тыс. руб.</t>
  </si>
  <si>
    <t>1.</t>
  </si>
  <si>
    <t>Жилые здания</t>
  </si>
  <si>
    <t>м2 общей площади квартир</t>
  </si>
  <si>
    <t>Коэффициент перехода от цен базового района (Московская область) к уровню цен Северо-Западный федеральный округ, Архангельская область, Жилые дома</t>
  </si>
  <si>
    <t>1,1*1,01=1,111</t>
  </si>
  <si>
    <t>Стоимость строительства с учетом территориальных условий</t>
  </si>
  <si>
    <t>2.</t>
  </si>
  <si>
    <t>Наружные инженерные сети</t>
  </si>
  <si>
    <t>Наружные инженерные сети канализации из полиэтиленовых труб, разработка сухого грунта в отвал, с креплением (группа грунта 1-3) диаметром 160 мм глубиной 2 м</t>
  </si>
  <si>
    <t>14-07-003-01</t>
  </si>
  <si>
    <t>1 км</t>
  </si>
  <si>
    <t>Коэффициент перехода от цен базового района (Московская область) к уровню цен Северо-Западный федеральный округ, Архангельская область, Сети канализации</t>
  </si>
  <si>
    <t>3.</t>
  </si>
  <si>
    <t>ИТОГО стоимость наружных инженерных сетей</t>
  </si>
  <si>
    <t>Малые архитектурные формы и благоустройство</t>
  </si>
  <si>
    <t>Малые архитектурные формы для жилых зданий многоквартирных</t>
  </si>
  <si>
    <t>16-02-001-01</t>
  </si>
  <si>
    <t>Коэффициент перехода от цен базового района (Московская область) к уровню цен Северо-Западный федеральный округ, Архангельская область, Малые архитектурные формы</t>
  </si>
  <si>
    <t>Элементы озеленения</t>
  </si>
  <si>
    <t>Коэффициент перехода от цен базового района (Московская область) к уровню цен Северо-Западный федеральный округ, Архангельская область, Озеленение</t>
  </si>
  <si>
    <t>ИТОГО стоимость элементов озеленения</t>
  </si>
  <si>
    <t>ИТОГО малые архитектурные формы и благоустройство</t>
  </si>
  <si>
    <t>ИТОГО стоимость инженерных сетей и благоустройства</t>
  </si>
  <si>
    <t>Всего стоимость зданий</t>
  </si>
  <si>
    <t>ЛСР 01-01-01</t>
  </si>
  <si>
    <t>Данные Росстата</t>
  </si>
  <si>
    <t>Техническое присоединение к электрическим сетям</t>
  </si>
  <si>
    <t xml:space="preserve">Итого </t>
  </si>
  <si>
    <t>НДС</t>
  </si>
  <si>
    <t>%</t>
  </si>
  <si>
    <t>Всего с НДС</t>
  </si>
  <si>
    <t>1.1</t>
  </si>
  <si>
    <t>2.1</t>
  </si>
  <si>
    <t>3.1</t>
  </si>
  <si>
    <t>4.1</t>
  </si>
  <si>
    <t>Единица измерения</t>
  </si>
  <si>
    <t>№ п/п</t>
  </si>
  <si>
    <t>Площадки с покрытием из резиновой крошки</t>
  </si>
  <si>
    <t>16-06-003-05</t>
  </si>
  <si>
    <t>5.1</t>
  </si>
  <si>
    <t>Техническое присоединение к сетям связи</t>
  </si>
  <si>
    <t>Ростелеком</t>
  </si>
  <si>
    <t>Наружные электрические сети</t>
  </si>
  <si>
    <t>Подземная прокладка в траншее кабелей с алюминиевыми жилами на напряжение l кВ, с числом жил 3 и сечением 25 мм2 (применительно)</t>
  </si>
  <si>
    <t>12-01-001-01</t>
  </si>
  <si>
    <t>Коэффициент перехода от цен базового района (Московская область) к уровню цен Северо-Западный федеральный округ, Архангельская область, Наружные сети электроснабжения</t>
  </si>
  <si>
    <t>16-07-001-02</t>
  </si>
  <si>
    <t>Светильники на стальных опорах с люминесцентными лампами</t>
  </si>
  <si>
    <t>100 м2 территории</t>
  </si>
  <si>
    <t>100 м2 покрытия</t>
  </si>
  <si>
    <t>4</t>
  </si>
  <si>
    <t>6.1</t>
  </si>
  <si>
    <t>Наружные инженерные сети водоснабжения из полиэтиленовых труб, разработка сухого грунта в отвал, с креплением (группа грунта 1-3) диаметром 110 мм глубиной 2 м</t>
  </si>
  <si>
    <t>14-06-003-01</t>
  </si>
  <si>
    <t>2.2</t>
  </si>
  <si>
    <t>16-06-001-04</t>
  </si>
  <si>
    <t>Прогноз социально-экономического развития Российской Федерации на 2025 год и на плановый период 2026 и 2027 годов от 30.09.2024 г</t>
  </si>
  <si>
    <t>Наружные тепловые сети</t>
  </si>
  <si>
    <t xml:space="preserve">Трубопроводы наружных сетей теплоснабжения в ППУ изоляции: бесканальная прокладка на песчаном основании диаметр труб 100 мм глубина 2 м </t>
  </si>
  <si>
    <t>13-03-003-07</t>
  </si>
  <si>
    <t>100 м</t>
  </si>
  <si>
    <t>Коэффициент перехода от цен базового района (Московская область) к уровню цен Северо-Западный федеральный округ, Архангельская область, Тепловые сети</t>
  </si>
  <si>
    <t>Объекты энергетики (за исключением линейных)</t>
  </si>
  <si>
    <t>1 объект</t>
  </si>
  <si>
    <t>Коэффициент перехода от цен базового района (Московская область) к уровню цен Северо-Западный федеральный округ, Архангельская область, Объекты энергетики</t>
  </si>
  <si>
    <t>21-01-005-01,              21-01-005-02</t>
  </si>
  <si>
    <t>Здания и сооружения городской инфраструктуры</t>
  </si>
  <si>
    <t>7.1</t>
  </si>
  <si>
    <t>7.2</t>
  </si>
  <si>
    <t>7.3</t>
  </si>
  <si>
    <t>7.4</t>
  </si>
  <si>
    <t>7.5</t>
  </si>
  <si>
    <t>7.6</t>
  </si>
  <si>
    <t>Коэффициент перехода от цен базового района (Московская область) к уровню цен Северо-Западный федеральный округ, Архангельская область, Здания и сооружения городской инфраструктуры</t>
  </si>
  <si>
    <t>5</t>
  </si>
  <si>
    <t>8.1</t>
  </si>
  <si>
    <t>Прогнозный индекс дефлятор на 2027г.</t>
  </si>
  <si>
    <t>Командировочные</t>
  </si>
  <si>
    <t>Расчет</t>
  </si>
  <si>
    <t>Расчетная стоимость Многоквартирный дом на земельном участке с кадастровым номером 29:02:030803:1356 по адресу: Российская Федерация, Архангельская область, муниципальный округ Верхнетоемский, село Верхняя Тойма, улица Комсомольская, земельный участок 5</t>
  </si>
  <si>
    <t>Комплектные трансформаторные подстанции (кТП) l0(6) кВ
тупиковые киоскового типа, мощность 150 кВА</t>
  </si>
  <si>
    <t>Наземные стальные резервуары для воды, емкостью 350 мз (применительно пожарный резервуар)</t>
  </si>
  <si>
    <t xml:space="preserve">19-03-007-01    </t>
  </si>
  <si>
    <t>м3</t>
  </si>
  <si>
    <t>Наземные стальные резервуары для воды, емкостью 350 мз (применительно накопительная емкость)</t>
  </si>
  <si>
    <t>6.2</t>
  </si>
  <si>
    <t xml:space="preserve">100 м2 </t>
  </si>
  <si>
    <t xml:space="preserve">17-01-002-01,             17-01-002-02              </t>
  </si>
  <si>
    <t>Индекс фактической инфляции на март  2025 г.</t>
  </si>
  <si>
    <t>Установка электростанция для автомобилей /Расчитан методом РИМ на 1 кв 2025 г</t>
  </si>
  <si>
    <t>ЛСР 02-01-02</t>
  </si>
  <si>
    <t xml:space="preserve">ЛСР 02-01-01 </t>
  </si>
  <si>
    <t>Доставка материалов /Расчитан методом РИМ на 1 кв 2025 г</t>
  </si>
  <si>
    <t>Подготовительные работы/Расчитан методом РИМ на 1 кв 2025 г</t>
  </si>
  <si>
    <t>Стоимость единицы изм. по состоянию на 01.01.2025, тыс. руб.*</t>
  </si>
  <si>
    <t>НЦС 81-02-01-2025</t>
  </si>
  <si>
    <t>Табл. 1 и табл 3 НЦС 81-02-01-2025</t>
  </si>
  <si>
    <t>НЦС 81-02-14-2025</t>
  </si>
  <si>
    <t>Таблица 11,13 НЦС 81-02-14-2025</t>
  </si>
  <si>
    <t>В=1,09*1,02</t>
  </si>
  <si>
    <t>К=1,09*1,01</t>
  </si>
  <si>
    <t>НЦС 81-02-13-2025</t>
  </si>
  <si>
    <t>Таблица 4,6 НЦС 81-02-13-2025</t>
  </si>
  <si>
    <t>1,08*1,02</t>
  </si>
  <si>
    <t>НЦС 81-02-12-2025</t>
  </si>
  <si>
    <t>Таблица 2,4 НЦС 81-02-12-2025</t>
  </si>
  <si>
    <t>1,07*1,01</t>
  </si>
  <si>
    <t>НЦС 81-02-21-2025</t>
  </si>
  <si>
    <t>Таблица 2,4 НЦС 81-02-21-2025</t>
  </si>
  <si>
    <t>1,16*1,0</t>
  </si>
  <si>
    <t>100 кВА – 619,43</t>
  </si>
  <si>
    <t>160 кВА – 666,02</t>
  </si>
  <si>
    <t>Пв=666,02-(160-150)*((666,02-619,43)/(160-100)=626,51</t>
  </si>
  <si>
    <t>НЦС 81-02-19-2025</t>
  </si>
  <si>
    <t>Таблица 1,3 НЦС 81-02-19-2025</t>
  </si>
  <si>
    <t>1,17*1,01</t>
  </si>
  <si>
    <t>НЦС 81-02-16-2025</t>
  </si>
  <si>
    <t>Таблица 4,6 НЦС 81-02-16-2025</t>
  </si>
  <si>
    <t>1,16*1,01</t>
  </si>
  <si>
    <t>Площадки с покрытием из щебня</t>
  </si>
  <si>
    <t>16-06-003-01</t>
  </si>
  <si>
    <t>Площадки с покрытием из армированного цементобетона</t>
  </si>
  <si>
    <t>16-06-003-07</t>
  </si>
  <si>
    <t>Площадки, дорожки, тротуары шириной от 0,9 м до 2,5 м с покрытием: из мелкоразмерной плитки</t>
  </si>
  <si>
    <t>НЦС 81-02-17-2025</t>
  </si>
  <si>
    <t>30% - 171,99</t>
  </si>
  <si>
    <t>60% - 238,95</t>
  </si>
  <si>
    <t>Озеленение придомовых территорий с площадью газонов 35,3% от общей территории</t>
  </si>
  <si>
    <t>Пв=238,95-(60-35,3)*((238,95-171,99)/(60-30)=183,82</t>
  </si>
  <si>
    <t>Таблица 1 НЦС 81-02-17-2025</t>
  </si>
  <si>
    <t>Жилые здания средней этажности (3-5 этажей)
с несущими стенами из кирпича площадью квартир 1 520,11 м2</t>
  </si>
  <si>
    <t xml:space="preserve">01-03-001-01       01-03-001-02            </t>
  </si>
  <si>
    <t>1200 м2– 91,42</t>
  </si>
  <si>
    <t>3200 м2 – 68,26</t>
  </si>
  <si>
    <t>Пв=68,26-(3200-1520,11)*((68,26-91,42)/(3200-1200)=87,71</t>
  </si>
  <si>
    <t>Договор № АРХ-00518-Э-К/25 от 10.04.2025 ПАО "Россети Северо-Запад"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</si>
</sst>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16" fontId="3" fillId="0" borderId="7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2" fontId="2" fillId="0" borderId="21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2" fontId="3" fillId="0" borderId="21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21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2" fontId="2" fillId="0" borderId="21" xfId="0" applyNumberFormat="1" applyFont="1" applyBorder="1" applyAlignment="1">
      <alignment horizontal="center" vertical="center" wrapText="1"/>
    </xf>
    <xf numFmtId="2" fontId="2" fillId="0" borderId="26" xfId="0" applyNumberFormat="1" applyFont="1" applyBorder="1" applyAlignment="1">
      <alignment horizontal="center" vertical="center" wrapText="1"/>
    </xf>
    <xf numFmtId="49" fontId="3" fillId="0" borderId="24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2" fontId="2" fillId="0" borderId="23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2" fontId="2" fillId="0" borderId="27" xfId="0" applyNumberFormat="1" applyFont="1" applyBorder="1" applyAlignment="1">
      <alignment horizontal="center" vertical="center" wrapText="1"/>
    </xf>
    <xf numFmtId="2" fontId="2" fillId="0" borderId="21" xfId="0" applyNumberFormat="1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2" fontId="2" fillId="0" borderId="26" xfId="0" applyNumberFormat="1" applyFont="1" applyBorder="1" applyAlignment="1">
      <alignment horizontal="center" vertical="center" wrapText="1"/>
    </xf>
    <xf numFmtId="2" fontId="2" fillId="0" borderId="27" xfId="0" applyNumberFormat="1" applyFont="1" applyBorder="1" applyAlignment="1">
      <alignment horizontal="center" vertical="center" wrapText="1"/>
    </xf>
    <xf numFmtId="2" fontId="2" fillId="0" borderId="21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2" fontId="2" fillId="0" borderId="28" xfId="0" applyNumberFormat="1" applyFont="1" applyBorder="1" applyAlignment="1">
      <alignment horizontal="center" vertical="center" wrapText="1"/>
    </xf>
    <xf numFmtId="2" fontId="2" fillId="0" borderId="18" xfId="0" applyNumberFormat="1" applyFont="1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abSelected="1" zoomScaleNormal="100" workbookViewId="0">
      <selection activeCell="D67" sqref="D67"/>
    </sheetView>
  </sheetViews>
  <sheetFormatPr defaultRowHeight="15" x14ac:dyDescent="0.25"/>
  <cols>
    <col min="1" max="1" width="9.5703125" customWidth="1"/>
    <col min="2" max="2" width="25.5703125" customWidth="1"/>
    <col min="3" max="3" width="12.28515625" customWidth="1"/>
    <col min="4" max="4" width="13.85546875" customWidth="1"/>
    <col min="5" max="5" width="12.140625" customWidth="1"/>
    <col min="6" max="6" width="12.85546875" customWidth="1"/>
    <col min="7" max="7" width="13.28515625" customWidth="1"/>
  </cols>
  <sheetData>
    <row r="1" spans="1:7" ht="45" customHeight="1" x14ac:dyDescent="0.25">
      <c r="A1" s="82" t="s">
        <v>83</v>
      </c>
      <c r="B1" s="82"/>
      <c r="C1" s="82"/>
      <c r="D1" s="82"/>
      <c r="E1" s="82"/>
      <c r="F1" s="82"/>
      <c r="G1" s="82"/>
    </row>
    <row r="3" spans="1:7" thickBot="1" x14ac:dyDescent="0.35"/>
    <row r="4" spans="1:7" ht="60" customHeight="1" thickBot="1" x14ac:dyDescent="0.3">
      <c r="A4" s="7" t="s">
        <v>40</v>
      </c>
      <c r="B4" s="7" t="s">
        <v>0</v>
      </c>
      <c r="C4" s="7" t="s">
        <v>1</v>
      </c>
      <c r="D4" s="8" t="s">
        <v>39</v>
      </c>
      <c r="E4" s="7" t="s">
        <v>2</v>
      </c>
      <c r="F4" s="7" t="s">
        <v>98</v>
      </c>
      <c r="G4" s="7" t="s">
        <v>3</v>
      </c>
    </row>
    <row r="5" spans="1:7" thickBot="1" x14ac:dyDescent="0.35">
      <c r="A5" s="1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</row>
    <row r="6" spans="1:7" ht="23.25" thickBot="1" x14ac:dyDescent="0.3">
      <c r="A6" s="39" t="s">
        <v>4</v>
      </c>
      <c r="B6" s="38" t="s">
        <v>5</v>
      </c>
      <c r="C6" s="8" t="s">
        <v>99</v>
      </c>
      <c r="D6" s="8"/>
      <c r="E6" s="8"/>
      <c r="F6" s="8"/>
      <c r="G6" s="8"/>
    </row>
    <row r="7" spans="1:7" ht="45" x14ac:dyDescent="0.25">
      <c r="A7" s="73" t="s">
        <v>35</v>
      </c>
      <c r="B7" s="33" t="s">
        <v>134</v>
      </c>
      <c r="C7" s="22" t="s">
        <v>135</v>
      </c>
      <c r="D7" s="74" t="s">
        <v>6</v>
      </c>
      <c r="E7" s="74">
        <v>1520.11</v>
      </c>
      <c r="F7" s="75">
        <v>87.71</v>
      </c>
      <c r="G7" s="72">
        <f>E7*F7</f>
        <v>133328.84809999997</v>
      </c>
    </row>
    <row r="8" spans="1:7" x14ac:dyDescent="0.25">
      <c r="A8" s="79"/>
      <c r="B8" s="6" t="s">
        <v>136</v>
      </c>
      <c r="C8" s="76"/>
      <c r="D8" s="80"/>
      <c r="E8" s="80"/>
      <c r="F8" s="81"/>
      <c r="G8" s="77"/>
    </row>
    <row r="9" spans="1:7" x14ac:dyDescent="0.25">
      <c r="A9" s="79"/>
      <c r="B9" s="6" t="s">
        <v>137</v>
      </c>
      <c r="C9" s="76"/>
      <c r="D9" s="80"/>
      <c r="E9" s="80"/>
      <c r="F9" s="81"/>
      <c r="G9" s="77"/>
    </row>
    <row r="10" spans="1:7" ht="22.5" x14ac:dyDescent="0.25">
      <c r="A10" s="79"/>
      <c r="B10" s="6" t="s">
        <v>138</v>
      </c>
      <c r="C10" s="76"/>
      <c r="D10" s="80"/>
      <c r="E10" s="80"/>
      <c r="F10" s="81"/>
      <c r="G10" s="77"/>
    </row>
    <row r="11" spans="1:7" ht="67.5" x14ac:dyDescent="0.25">
      <c r="A11" s="12"/>
      <c r="B11" s="6" t="s">
        <v>7</v>
      </c>
      <c r="C11" s="5" t="s">
        <v>100</v>
      </c>
      <c r="D11" s="5"/>
      <c r="E11" s="5"/>
      <c r="F11" s="5" t="s">
        <v>8</v>
      </c>
      <c r="G11" s="13">
        <f>1.1*1.01</f>
        <v>1.1110000000000002</v>
      </c>
    </row>
    <row r="12" spans="1:7" ht="23.25" thickBot="1" x14ac:dyDescent="0.3">
      <c r="A12" s="14"/>
      <c r="B12" s="15" t="s">
        <v>9</v>
      </c>
      <c r="C12" s="16"/>
      <c r="D12" s="16"/>
      <c r="E12" s="16"/>
      <c r="F12" s="16"/>
      <c r="G12" s="17">
        <f>G7*G11</f>
        <v>148128.35023909999</v>
      </c>
    </row>
    <row r="13" spans="1:7" ht="23.25" thickBot="1" x14ac:dyDescent="0.3">
      <c r="A13" s="23" t="s">
        <v>10</v>
      </c>
      <c r="B13" s="24" t="s">
        <v>11</v>
      </c>
      <c r="C13" s="24" t="s">
        <v>101</v>
      </c>
      <c r="D13" s="24"/>
      <c r="E13" s="24"/>
      <c r="F13" s="24"/>
      <c r="G13" s="41"/>
    </row>
    <row r="14" spans="1:7" ht="75" customHeight="1" x14ac:dyDescent="0.25">
      <c r="A14" s="40" t="s">
        <v>36</v>
      </c>
      <c r="B14" s="33" t="s">
        <v>12</v>
      </c>
      <c r="C14" s="22" t="s">
        <v>13</v>
      </c>
      <c r="D14" s="22" t="s">
        <v>14</v>
      </c>
      <c r="E14" s="22">
        <f>62.4/1000</f>
        <v>6.2399999999999997E-2</v>
      </c>
      <c r="F14" s="22">
        <v>7092.81</v>
      </c>
      <c r="G14" s="78">
        <f>E14*F14</f>
        <v>442.59134399999999</v>
      </c>
    </row>
    <row r="15" spans="1:7" ht="75" customHeight="1" x14ac:dyDescent="0.25">
      <c r="A15" s="57" t="s">
        <v>58</v>
      </c>
      <c r="B15" s="33" t="s">
        <v>56</v>
      </c>
      <c r="C15" s="58" t="s">
        <v>57</v>
      </c>
      <c r="D15" s="58" t="s">
        <v>14</v>
      </c>
      <c r="E15" s="58">
        <f>(173.9+6)/1000</f>
        <v>0.1799</v>
      </c>
      <c r="F15" s="58">
        <v>7719.33</v>
      </c>
      <c r="G15" s="78">
        <f>E15*F15</f>
        <v>1388.707467</v>
      </c>
    </row>
    <row r="16" spans="1:7" ht="49.15" customHeight="1" x14ac:dyDescent="0.25">
      <c r="A16" s="87"/>
      <c r="B16" s="83" t="s">
        <v>15</v>
      </c>
      <c r="C16" s="85" t="s">
        <v>102</v>
      </c>
      <c r="D16" s="85"/>
      <c r="E16" s="85"/>
      <c r="F16" s="5" t="s">
        <v>103</v>
      </c>
      <c r="G16" s="13">
        <f>1.09*1.02</f>
        <v>1.1118000000000001</v>
      </c>
    </row>
    <row r="17" spans="1:7" ht="27.6" customHeight="1" x14ac:dyDescent="0.25">
      <c r="A17" s="88"/>
      <c r="B17" s="84"/>
      <c r="C17" s="86"/>
      <c r="D17" s="86"/>
      <c r="E17" s="86"/>
      <c r="F17" s="59" t="s">
        <v>104</v>
      </c>
      <c r="G17" s="13">
        <f>1.09*1.01</f>
        <v>1.1009</v>
      </c>
    </row>
    <row r="18" spans="1:7" ht="24" customHeight="1" thickBot="1" x14ac:dyDescent="0.3">
      <c r="A18" s="14"/>
      <c r="B18" s="15" t="s">
        <v>9</v>
      </c>
      <c r="C18" s="16"/>
      <c r="D18" s="16"/>
      <c r="E18" s="16"/>
      <c r="F18" s="16"/>
      <c r="G18" s="17">
        <f>G14*G17+G15*G16</f>
        <v>2031.2137724202</v>
      </c>
    </row>
    <row r="19" spans="1:7" ht="23.25" thickBot="1" x14ac:dyDescent="0.3">
      <c r="A19" s="23" t="s">
        <v>16</v>
      </c>
      <c r="B19" s="24" t="s">
        <v>61</v>
      </c>
      <c r="C19" s="24" t="s">
        <v>105</v>
      </c>
      <c r="D19" s="24"/>
      <c r="E19" s="24"/>
      <c r="F19" s="24"/>
      <c r="G19" s="41"/>
    </row>
    <row r="20" spans="1:7" ht="74.25" customHeight="1" x14ac:dyDescent="0.25">
      <c r="A20" s="70" t="s">
        <v>37</v>
      </c>
      <c r="B20" s="33" t="s">
        <v>62</v>
      </c>
      <c r="C20" s="66" t="s">
        <v>63</v>
      </c>
      <c r="D20" s="66" t="s">
        <v>64</v>
      </c>
      <c r="E20" s="66">
        <f>5/100</f>
        <v>0.05</v>
      </c>
      <c r="F20" s="66">
        <v>1392.27</v>
      </c>
      <c r="G20" s="71">
        <f>E20*F20</f>
        <v>69.613500000000002</v>
      </c>
    </row>
    <row r="21" spans="1:7" ht="72.75" customHeight="1" x14ac:dyDescent="0.25">
      <c r="A21" s="21"/>
      <c r="B21" s="6" t="s">
        <v>65</v>
      </c>
      <c r="C21" s="61" t="s">
        <v>106</v>
      </c>
      <c r="D21" s="61"/>
      <c r="E21" s="61"/>
      <c r="F21" s="61" t="s">
        <v>107</v>
      </c>
      <c r="G21" s="13">
        <f>1.08*1.02</f>
        <v>1.1016000000000001</v>
      </c>
    </row>
    <row r="22" spans="1:7" ht="23.25" customHeight="1" thickBot="1" x14ac:dyDescent="0.3">
      <c r="A22" s="67"/>
      <c r="B22" s="68" t="s">
        <v>9</v>
      </c>
      <c r="C22" s="69"/>
      <c r="D22" s="69"/>
      <c r="E22" s="69"/>
      <c r="F22" s="69"/>
      <c r="G22" s="17">
        <f>G20*G21</f>
        <v>76.686231600000013</v>
      </c>
    </row>
    <row r="23" spans="1:7" ht="23.25" thickBot="1" x14ac:dyDescent="0.3">
      <c r="A23" s="49" t="s">
        <v>54</v>
      </c>
      <c r="B23" s="24" t="s">
        <v>46</v>
      </c>
      <c r="C23" s="24" t="s">
        <v>108</v>
      </c>
      <c r="D23" s="24"/>
      <c r="E23" s="24"/>
      <c r="F23" s="24"/>
      <c r="G23" s="41"/>
    </row>
    <row r="24" spans="1:7" ht="74.25" customHeight="1" x14ac:dyDescent="0.25">
      <c r="A24" s="49" t="s">
        <v>38</v>
      </c>
      <c r="B24" s="33" t="s">
        <v>47</v>
      </c>
      <c r="C24" s="48" t="s">
        <v>48</v>
      </c>
      <c r="D24" s="48" t="s">
        <v>14</v>
      </c>
      <c r="E24" s="48">
        <f>(10+17.3)/1000</f>
        <v>2.7300000000000001E-2</v>
      </c>
      <c r="F24" s="48">
        <v>1484.91</v>
      </c>
      <c r="G24" s="51">
        <f>E24*F24</f>
        <v>40.538043000000002</v>
      </c>
    </row>
    <row r="25" spans="1:7" ht="72.75" customHeight="1" x14ac:dyDescent="0.25">
      <c r="A25" s="21"/>
      <c r="B25" s="6" t="s">
        <v>49</v>
      </c>
      <c r="C25" s="50" t="s">
        <v>109</v>
      </c>
      <c r="D25" s="50"/>
      <c r="E25" s="50"/>
      <c r="F25" s="50" t="s">
        <v>110</v>
      </c>
      <c r="G25" s="13">
        <f>1.07*1.01</f>
        <v>1.0807</v>
      </c>
    </row>
    <row r="26" spans="1:7" ht="23.25" customHeight="1" thickBot="1" x14ac:dyDescent="0.3">
      <c r="A26" s="52"/>
      <c r="B26" s="53" t="s">
        <v>9</v>
      </c>
      <c r="C26" s="54"/>
      <c r="D26" s="54"/>
      <c r="E26" s="54"/>
      <c r="F26" s="54"/>
      <c r="G26" s="17">
        <f>G24*G25</f>
        <v>43.809463070100001</v>
      </c>
    </row>
    <row r="27" spans="1:7" ht="23.25" thickBot="1" x14ac:dyDescent="0.3">
      <c r="A27" s="70" t="s">
        <v>78</v>
      </c>
      <c r="B27" s="24" t="s">
        <v>66</v>
      </c>
      <c r="C27" s="24" t="s">
        <v>111</v>
      </c>
      <c r="D27" s="24"/>
      <c r="E27" s="24"/>
      <c r="F27" s="24"/>
      <c r="G27" s="41"/>
    </row>
    <row r="28" spans="1:7" ht="74.25" customHeight="1" x14ac:dyDescent="0.25">
      <c r="A28" s="102" t="s">
        <v>43</v>
      </c>
      <c r="B28" s="33" t="s">
        <v>84</v>
      </c>
      <c r="C28" s="105" t="s">
        <v>69</v>
      </c>
      <c r="D28" s="105" t="s">
        <v>67</v>
      </c>
      <c r="E28" s="105">
        <v>1</v>
      </c>
      <c r="F28" s="105">
        <v>658.25</v>
      </c>
      <c r="G28" s="99">
        <f>E28*F28</f>
        <v>658.25</v>
      </c>
    </row>
    <row r="29" spans="1:7" x14ac:dyDescent="0.25">
      <c r="A29" s="103"/>
      <c r="B29" s="6" t="s">
        <v>114</v>
      </c>
      <c r="C29" s="106"/>
      <c r="D29" s="106"/>
      <c r="E29" s="106"/>
      <c r="F29" s="106"/>
      <c r="G29" s="100"/>
    </row>
    <row r="30" spans="1:7" x14ac:dyDescent="0.25">
      <c r="A30" s="103"/>
      <c r="B30" s="6" t="s">
        <v>115</v>
      </c>
      <c r="C30" s="106"/>
      <c r="D30" s="106"/>
      <c r="E30" s="106"/>
      <c r="F30" s="106"/>
      <c r="G30" s="100"/>
    </row>
    <row r="31" spans="1:7" ht="22.5" x14ac:dyDescent="0.25">
      <c r="A31" s="104"/>
      <c r="B31" s="6" t="s">
        <v>116</v>
      </c>
      <c r="C31" s="86"/>
      <c r="D31" s="86"/>
      <c r="E31" s="86"/>
      <c r="F31" s="86"/>
      <c r="G31" s="101"/>
    </row>
    <row r="32" spans="1:7" ht="72.75" customHeight="1" x14ac:dyDescent="0.25">
      <c r="A32" s="21"/>
      <c r="B32" s="6" t="s">
        <v>68</v>
      </c>
      <c r="C32" s="61" t="s">
        <v>112</v>
      </c>
      <c r="D32" s="61"/>
      <c r="E32" s="61"/>
      <c r="F32" s="61" t="s">
        <v>113</v>
      </c>
      <c r="G32" s="13">
        <f>1.16*1</f>
        <v>1.1599999999999999</v>
      </c>
    </row>
    <row r="33" spans="1:7" ht="23.25" customHeight="1" thickBot="1" x14ac:dyDescent="0.3">
      <c r="A33" s="67"/>
      <c r="B33" s="68" t="s">
        <v>9</v>
      </c>
      <c r="C33" s="69"/>
      <c r="D33" s="69"/>
      <c r="E33" s="69"/>
      <c r="F33" s="69"/>
      <c r="G33" s="17">
        <f>G28*G32</f>
        <v>763.56999999999994</v>
      </c>
    </row>
    <row r="34" spans="1:7" ht="23.25" thickBot="1" x14ac:dyDescent="0.3">
      <c r="A34" s="23">
        <v>6</v>
      </c>
      <c r="B34" s="24" t="s">
        <v>70</v>
      </c>
      <c r="C34" s="24" t="s">
        <v>117</v>
      </c>
      <c r="D34" s="24"/>
      <c r="E34" s="24"/>
      <c r="F34" s="24"/>
      <c r="G34" s="41"/>
    </row>
    <row r="35" spans="1:7" ht="54.75" customHeight="1" thickBot="1" x14ac:dyDescent="0.3">
      <c r="A35" s="73" t="s">
        <v>55</v>
      </c>
      <c r="B35" s="33" t="s">
        <v>85</v>
      </c>
      <c r="C35" s="74" t="s">
        <v>86</v>
      </c>
      <c r="D35" s="74" t="s">
        <v>87</v>
      </c>
      <c r="E35" s="74">
        <v>90</v>
      </c>
      <c r="F35" s="74">
        <v>40.18</v>
      </c>
      <c r="G35" s="72">
        <f t="shared" ref="G35" si="0">E35*F35</f>
        <v>3616.2</v>
      </c>
    </row>
    <row r="36" spans="1:7" ht="54.75" customHeight="1" x14ac:dyDescent="0.25">
      <c r="A36" s="73" t="s">
        <v>89</v>
      </c>
      <c r="B36" s="33" t="s">
        <v>88</v>
      </c>
      <c r="C36" s="74" t="s">
        <v>86</v>
      </c>
      <c r="D36" s="74" t="s">
        <v>87</v>
      </c>
      <c r="E36" s="74">
        <v>30</v>
      </c>
      <c r="F36" s="74">
        <v>40.18</v>
      </c>
      <c r="G36" s="72">
        <f t="shared" ref="G36" si="1">E36*F36</f>
        <v>1205.4000000000001</v>
      </c>
    </row>
    <row r="37" spans="1:7" ht="84" customHeight="1" x14ac:dyDescent="0.25">
      <c r="A37" s="21"/>
      <c r="B37" s="6" t="s">
        <v>77</v>
      </c>
      <c r="C37" s="61" t="s">
        <v>118</v>
      </c>
      <c r="D37" s="61"/>
      <c r="E37" s="61"/>
      <c r="F37" s="61" t="s">
        <v>119</v>
      </c>
      <c r="G37" s="13">
        <f>1.17*1.01</f>
        <v>1.1817</v>
      </c>
    </row>
    <row r="38" spans="1:7" ht="23.25" customHeight="1" thickBot="1" x14ac:dyDescent="0.3">
      <c r="A38" s="67"/>
      <c r="B38" s="68" t="s">
        <v>9</v>
      </c>
      <c r="C38" s="69"/>
      <c r="D38" s="69"/>
      <c r="E38" s="69"/>
      <c r="F38" s="69"/>
      <c r="G38" s="17">
        <f>G35*G37+G36*G37</f>
        <v>5697.6847200000002</v>
      </c>
    </row>
    <row r="39" spans="1:7" ht="23.25" thickBot="1" x14ac:dyDescent="0.3">
      <c r="A39" s="23"/>
      <c r="B39" s="24" t="s">
        <v>17</v>
      </c>
      <c r="C39" s="25"/>
      <c r="D39" s="25"/>
      <c r="E39" s="25"/>
      <c r="F39" s="25"/>
      <c r="G39" s="26">
        <f>G18+G22+G26+G33+G38</f>
        <v>8612.9641870902997</v>
      </c>
    </row>
    <row r="40" spans="1:7" ht="31.5" customHeight="1" thickBot="1" x14ac:dyDescent="0.3">
      <c r="A40" s="23">
        <v>7</v>
      </c>
      <c r="B40" s="24" t="s">
        <v>18</v>
      </c>
      <c r="C40" s="31" t="s">
        <v>120</v>
      </c>
      <c r="D40" s="25"/>
      <c r="E40" s="25"/>
      <c r="F40" s="25"/>
      <c r="G40" s="32"/>
    </row>
    <row r="41" spans="1:7" ht="22.5" x14ac:dyDescent="0.25">
      <c r="A41" s="43" t="s">
        <v>71</v>
      </c>
      <c r="B41" s="33" t="s">
        <v>19</v>
      </c>
      <c r="C41" s="22" t="s">
        <v>20</v>
      </c>
      <c r="D41" s="22" t="s">
        <v>52</v>
      </c>
      <c r="E41" s="22">
        <f>2920.4/100</f>
        <v>29.204000000000001</v>
      </c>
      <c r="F41" s="22">
        <v>34.33</v>
      </c>
      <c r="G41" s="42">
        <f t="shared" ref="G41:G46" si="2">E41*F41</f>
        <v>1002.57332</v>
      </c>
    </row>
    <row r="42" spans="1:7" x14ac:dyDescent="0.25">
      <c r="A42" s="28" t="s">
        <v>72</v>
      </c>
      <c r="B42" s="6" t="s">
        <v>123</v>
      </c>
      <c r="C42" s="5" t="s">
        <v>124</v>
      </c>
      <c r="D42" s="55" t="s">
        <v>53</v>
      </c>
      <c r="E42" s="5">
        <f>(817.8+15.4)/100</f>
        <v>8.331999999999999</v>
      </c>
      <c r="F42" s="5">
        <v>283.75</v>
      </c>
      <c r="G42" s="20">
        <f t="shared" si="2"/>
        <v>2364.2049999999999</v>
      </c>
    </row>
    <row r="43" spans="1:7" ht="22.5" x14ac:dyDescent="0.25">
      <c r="A43" s="28" t="s">
        <v>73</v>
      </c>
      <c r="B43" s="6" t="s">
        <v>125</v>
      </c>
      <c r="C43" s="9" t="s">
        <v>126</v>
      </c>
      <c r="D43" s="55" t="s">
        <v>53</v>
      </c>
      <c r="E43" s="9">
        <f>(120.5+11)/100</f>
        <v>1.3149999999999999</v>
      </c>
      <c r="F43" s="9">
        <v>339.93</v>
      </c>
      <c r="G43" s="20">
        <f t="shared" si="2"/>
        <v>447.00794999999999</v>
      </c>
    </row>
    <row r="44" spans="1:7" ht="45" x14ac:dyDescent="0.25">
      <c r="A44" s="28" t="s">
        <v>74</v>
      </c>
      <c r="B44" s="6" t="s">
        <v>127</v>
      </c>
      <c r="C44" s="5" t="s">
        <v>59</v>
      </c>
      <c r="D44" s="55" t="s">
        <v>53</v>
      </c>
      <c r="E44" s="5">
        <f>293.6/100</f>
        <v>2.9360000000000004</v>
      </c>
      <c r="F44" s="5">
        <v>485.13</v>
      </c>
      <c r="G44" s="20">
        <f t="shared" si="2"/>
        <v>1424.3416800000002</v>
      </c>
    </row>
    <row r="45" spans="1:7" ht="22.5" x14ac:dyDescent="0.25">
      <c r="A45" s="28" t="s">
        <v>75</v>
      </c>
      <c r="B45" s="6" t="s">
        <v>41</v>
      </c>
      <c r="C45" s="5" t="s">
        <v>42</v>
      </c>
      <c r="D45" s="55" t="s">
        <v>53</v>
      </c>
      <c r="E45" s="5">
        <f>86.5/100</f>
        <v>0.86499999999999999</v>
      </c>
      <c r="F45" s="5">
        <v>566.76</v>
      </c>
      <c r="G45" s="20">
        <f t="shared" si="2"/>
        <v>490.24739999999997</v>
      </c>
    </row>
    <row r="46" spans="1:7" ht="22.5" x14ac:dyDescent="0.25">
      <c r="A46" s="28" t="s">
        <v>76</v>
      </c>
      <c r="B46" s="6" t="s">
        <v>51</v>
      </c>
      <c r="C46" s="5" t="s">
        <v>50</v>
      </c>
      <c r="D46" s="55" t="s">
        <v>52</v>
      </c>
      <c r="E46" s="56">
        <f>2920.4/100</f>
        <v>29.204000000000001</v>
      </c>
      <c r="F46" s="5">
        <v>23.51</v>
      </c>
      <c r="G46" s="20">
        <f t="shared" si="2"/>
        <v>686.58604000000003</v>
      </c>
    </row>
    <row r="47" spans="1:7" ht="67.5" x14ac:dyDescent="0.25">
      <c r="A47" s="12"/>
      <c r="B47" s="6" t="s">
        <v>21</v>
      </c>
      <c r="C47" s="5" t="s">
        <v>121</v>
      </c>
      <c r="D47" s="5"/>
      <c r="E47" s="6"/>
      <c r="F47" s="5" t="s">
        <v>122</v>
      </c>
      <c r="G47" s="13">
        <f>1.16*1.01</f>
        <v>1.1716</v>
      </c>
    </row>
    <row r="48" spans="1:7" ht="23.25" thickBot="1" x14ac:dyDescent="0.3">
      <c r="A48" s="14"/>
      <c r="B48" s="15" t="s">
        <v>9</v>
      </c>
      <c r="C48" s="16"/>
      <c r="D48" s="16"/>
      <c r="E48" s="16"/>
      <c r="F48" s="16"/>
      <c r="G48" s="17">
        <f>SUM(G41:G46)*G47</f>
        <v>7515.7687645240003</v>
      </c>
    </row>
    <row r="49" spans="1:7" x14ac:dyDescent="0.25">
      <c r="A49" s="91">
        <v>8</v>
      </c>
      <c r="B49" s="93" t="s">
        <v>22</v>
      </c>
      <c r="C49" s="95" t="s">
        <v>128</v>
      </c>
      <c r="D49" s="97"/>
      <c r="E49" s="97"/>
      <c r="F49" s="97"/>
      <c r="G49" s="89"/>
    </row>
    <row r="50" spans="1:7" ht="15.75" thickBot="1" x14ac:dyDescent="0.3">
      <c r="A50" s="92"/>
      <c r="B50" s="94"/>
      <c r="C50" s="96"/>
      <c r="D50" s="98"/>
      <c r="E50" s="98"/>
      <c r="F50" s="98"/>
      <c r="G50" s="90"/>
    </row>
    <row r="51" spans="1:7" ht="33.75" x14ac:dyDescent="0.25">
      <c r="A51" s="102" t="s">
        <v>79</v>
      </c>
      <c r="B51" s="33" t="s">
        <v>131</v>
      </c>
      <c r="C51" s="105" t="s">
        <v>91</v>
      </c>
      <c r="D51" s="85" t="s">
        <v>90</v>
      </c>
      <c r="E51" s="85">
        <f>2920.4/100</f>
        <v>29.204000000000001</v>
      </c>
      <c r="F51" s="108">
        <v>183.82</v>
      </c>
      <c r="G51" s="107">
        <f>E51*F51</f>
        <v>5368.2792799999997</v>
      </c>
    </row>
    <row r="52" spans="1:7" x14ac:dyDescent="0.25">
      <c r="A52" s="103"/>
      <c r="B52" s="6" t="s">
        <v>129</v>
      </c>
      <c r="C52" s="106"/>
      <c r="D52" s="106"/>
      <c r="E52" s="106"/>
      <c r="F52" s="109"/>
      <c r="G52" s="100"/>
    </row>
    <row r="53" spans="1:7" x14ac:dyDescent="0.25">
      <c r="A53" s="103"/>
      <c r="B53" s="6" t="s">
        <v>130</v>
      </c>
      <c r="C53" s="106"/>
      <c r="D53" s="106"/>
      <c r="E53" s="106"/>
      <c r="F53" s="109"/>
      <c r="G53" s="100"/>
    </row>
    <row r="54" spans="1:7" ht="22.5" x14ac:dyDescent="0.25">
      <c r="A54" s="104"/>
      <c r="B54" s="6" t="s">
        <v>132</v>
      </c>
      <c r="C54" s="86"/>
      <c r="D54" s="86"/>
      <c r="E54" s="86"/>
      <c r="F54" s="110"/>
      <c r="G54" s="101"/>
    </row>
    <row r="55" spans="1:7" ht="67.5" x14ac:dyDescent="0.25">
      <c r="A55" s="29"/>
      <c r="B55" s="6" t="s">
        <v>23</v>
      </c>
      <c r="C55" s="5" t="s">
        <v>133</v>
      </c>
      <c r="D55" s="5"/>
      <c r="E55" s="5"/>
      <c r="F55" s="5">
        <v>1.1499999999999999</v>
      </c>
      <c r="G55" s="13">
        <v>1.1499999999999999</v>
      </c>
    </row>
    <row r="56" spans="1:7" ht="23.25" thickBot="1" x14ac:dyDescent="0.3">
      <c r="A56" s="14"/>
      <c r="B56" s="15" t="s">
        <v>24</v>
      </c>
      <c r="C56" s="30"/>
      <c r="D56" s="16"/>
      <c r="E56" s="16"/>
      <c r="F56" s="16"/>
      <c r="G56" s="17">
        <f>G51*G55</f>
        <v>6173.5211719999988</v>
      </c>
    </row>
    <row r="57" spans="1:7" ht="23.25" thickBot="1" x14ac:dyDescent="0.3">
      <c r="A57" s="23"/>
      <c r="B57" s="24" t="s">
        <v>25</v>
      </c>
      <c r="C57" s="31"/>
      <c r="D57" s="25"/>
      <c r="E57" s="25"/>
      <c r="F57" s="25"/>
      <c r="G57" s="26">
        <f>G48+G56</f>
        <v>13689.289936523999</v>
      </c>
    </row>
    <row r="58" spans="1:7" ht="23.25" thickBot="1" x14ac:dyDescent="0.3">
      <c r="A58" s="23"/>
      <c r="B58" s="24" t="s">
        <v>26</v>
      </c>
      <c r="C58" s="25"/>
      <c r="D58" s="25"/>
      <c r="E58" s="25"/>
      <c r="F58" s="25"/>
      <c r="G58" s="26">
        <f>G57+G39</f>
        <v>22302.254123614301</v>
      </c>
    </row>
    <row r="59" spans="1:7" ht="15.75" thickBot="1" x14ac:dyDescent="0.3">
      <c r="A59" s="23"/>
      <c r="B59" s="24" t="s">
        <v>27</v>
      </c>
      <c r="C59" s="25"/>
      <c r="D59" s="25"/>
      <c r="E59" s="25"/>
      <c r="F59" s="25"/>
      <c r="G59" s="26">
        <f>G58+G12</f>
        <v>170430.60436271428</v>
      </c>
    </row>
    <row r="60" spans="1:7" ht="40.5" customHeight="1" thickBot="1" x14ac:dyDescent="0.3">
      <c r="A60" s="23">
        <v>9</v>
      </c>
      <c r="B60" s="24" t="s">
        <v>92</v>
      </c>
      <c r="C60" s="25" t="s">
        <v>29</v>
      </c>
      <c r="D60" s="25"/>
      <c r="E60" s="25"/>
      <c r="F60" s="25">
        <v>1.006</v>
      </c>
      <c r="G60" s="26">
        <f>(G59)*F60</f>
        <v>171453.18798889057</v>
      </c>
    </row>
    <row r="61" spans="1:7" ht="33.75" x14ac:dyDescent="0.25">
      <c r="A61" s="18">
        <v>11</v>
      </c>
      <c r="B61" s="19" t="s">
        <v>97</v>
      </c>
      <c r="C61" s="27" t="s">
        <v>28</v>
      </c>
      <c r="D61" s="27"/>
      <c r="E61" s="27"/>
      <c r="F61" s="27"/>
      <c r="G61" s="46">
        <v>2794.62</v>
      </c>
    </row>
    <row r="62" spans="1:7" ht="33.75" x14ac:dyDescent="0.25">
      <c r="A62" s="21">
        <v>12</v>
      </c>
      <c r="B62" s="4" t="s">
        <v>93</v>
      </c>
      <c r="C62" s="3" t="s">
        <v>94</v>
      </c>
      <c r="D62" s="60"/>
      <c r="E62" s="3"/>
      <c r="F62" s="3"/>
      <c r="G62" s="45">
        <v>242.61</v>
      </c>
    </row>
    <row r="63" spans="1:7" ht="22.5" x14ac:dyDescent="0.25">
      <c r="A63" s="21">
        <v>13</v>
      </c>
      <c r="B63" s="4" t="s">
        <v>96</v>
      </c>
      <c r="C63" s="3" t="s">
        <v>95</v>
      </c>
      <c r="D63" s="61"/>
      <c r="E63" s="3"/>
      <c r="F63" s="3"/>
      <c r="G63" s="45">
        <v>9858.32</v>
      </c>
    </row>
    <row r="64" spans="1:7" ht="15.75" thickBot="1" x14ac:dyDescent="0.3">
      <c r="A64" s="21">
        <v>14</v>
      </c>
      <c r="B64" s="4" t="s">
        <v>81</v>
      </c>
      <c r="C64" s="3" t="s">
        <v>82</v>
      </c>
      <c r="D64" s="61"/>
      <c r="E64" s="3"/>
      <c r="F64" s="3"/>
      <c r="G64" s="45">
        <v>2876.27</v>
      </c>
    </row>
    <row r="65" spans="1:7" x14ac:dyDescent="0.25">
      <c r="A65" s="62"/>
      <c r="B65" s="63" t="s">
        <v>31</v>
      </c>
      <c r="C65" s="34"/>
      <c r="D65" s="64"/>
      <c r="E65" s="65"/>
      <c r="F65" s="65"/>
      <c r="G65" s="46">
        <f>SUM(G60:G64)</f>
        <v>187225.00798889055</v>
      </c>
    </row>
    <row r="66" spans="1:7" ht="123.75" x14ac:dyDescent="0.25">
      <c r="A66" s="21">
        <v>15</v>
      </c>
      <c r="B66" s="4" t="s">
        <v>80</v>
      </c>
      <c r="C66" s="61" t="s">
        <v>60</v>
      </c>
      <c r="D66" s="61"/>
      <c r="E66" s="3"/>
      <c r="F66" s="3">
        <v>1.1145</v>
      </c>
      <c r="G66" s="45">
        <f>G65*F66</f>
        <v>208662.27140361854</v>
      </c>
    </row>
    <row r="67" spans="1:7" ht="56.25" x14ac:dyDescent="0.25">
      <c r="A67" s="37">
        <v>16</v>
      </c>
      <c r="B67" s="11" t="s">
        <v>30</v>
      </c>
      <c r="C67" s="33" t="s">
        <v>139</v>
      </c>
      <c r="D67" s="22"/>
      <c r="E67" s="10"/>
      <c r="F67" s="10"/>
      <c r="G67" s="44">
        <f>1325675.18/1.2/1000</f>
        <v>1104.7293166666666</v>
      </c>
    </row>
    <row r="68" spans="1:7" ht="22.5" hidden="1" customHeight="1" x14ac:dyDescent="0.3">
      <c r="A68" s="21">
        <v>10</v>
      </c>
      <c r="B68" s="4" t="s">
        <v>44</v>
      </c>
      <c r="C68" s="47" t="s">
        <v>45</v>
      </c>
      <c r="D68" s="5"/>
      <c r="E68" s="3"/>
      <c r="F68" s="3"/>
      <c r="G68" s="35">
        <v>0</v>
      </c>
    </row>
    <row r="69" spans="1:7" x14ac:dyDescent="0.25">
      <c r="A69" s="21"/>
      <c r="B69" s="4" t="s">
        <v>31</v>
      </c>
      <c r="C69" s="6"/>
      <c r="D69" s="61"/>
      <c r="E69" s="3"/>
      <c r="F69" s="3"/>
      <c r="G69" s="45">
        <f>G66+G67</f>
        <v>209767.0007202852</v>
      </c>
    </row>
    <row r="70" spans="1:7" x14ac:dyDescent="0.25">
      <c r="A70" s="12"/>
      <c r="B70" s="6" t="s">
        <v>32</v>
      </c>
      <c r="C70" s="5"/>
      <c r="D70" s="5" t="s">
        <v>33</v>
      </c>
      <c r="E70" s="5">
        <v>20</v>
      </c>
      <c r="F70" s="5"/>
      <c r="G70" s="20">
        <f>G69*0.2</f>
        <v>41953.400144057043</v>
      </c>
    </row>
    <row r="71" spans="1:7" ht="15.75" thickBot="1" x14ac:dyDescent="0.3">
      <c r="A71" s="36"/>
      <c r="B71" s="15" t="s">
        <v>34</v>
      </c>
      <c r="C71" s="30"/>
      <c r="D71" s="30"/>
      <c r="E71" s="30"/>
      <c r="F71" s="30"/>
      <c r="G71" s="17">
        <f>G69+G70</f>
        <v>251720.40086434223</v>
      </c>
    </row>
  </sheetData>
  <mergeCells count="25">
    <mergeCell ref="G51:G54"/>
    <mergeCell ref="A51:A54"/>
    <mergeCell ref="C51:C54"/>
    <mergeCell ref="D51:D54"/>
    <mergeCell ref="E51:E54"/>
    <mergeCell ref="F51:F54"/>
    <mergeCell ref="G28:G31"/>
    <mergeCell ref="A28:A31"/>
    <mergeCell ref="C28:C31"/>
    <mergeCell ref="D28:D31"/>
    <mergeCell ref="E28:E31"/>
    <mergeCell ref="F28:F31"/>
    <mergeCell ref="G49:G50"/>
    <mergeCell ref="A49:A50"/>
    <mergeCell ref="B49:B50"/>
    <mergeCell ref="C49:C50"/>
    <mergeCell ref="D49:D50"/>
    <mergeCell ref="E49:E50"/>
    <mergeCell ref="F49:F50"/>
    <mergeCell ref="A1:G1"/>
    <mergeCell ref="B16:B17"/>
    <mergeCell ref="C16:C17"/>
    <mergeCell ref="A16:A17"/>
    <mergeCell ref="D16:D17"/>
    <mergeCell ref="E16:E17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2024-04-18T07:41:51Z</cp:lastPrinted>
  <dcterms:created xsi:type="dcterms:W3CDTF">2024-04-18T07:26:43Z</dcterms:created>
  <dcterms:modified xsi:type="dcterms:W3CDTF">2025-05-05T07:56:24Z</dcterms:modified>
</cp:coreProperties>
</file>